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b1 Tax vs CIM" state="visible" r:id="rId5"/>
    <sheet sheetId="3" name="Tab2 Adj EBITDA" state="visible" r:id="rId6"/>
    <sheet sheetId="4" name="Tab3 NWC" state="visible" r:id="rId7"/>
    <sheet sheetId="5" name="Tab4 SBA DSCR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<sst xmlns="http://schemas.openxmlformats.org/spreadsheetml/2006/main" count="122" uniqueCount="113">
  <si>
    <t>SBA DEAL MODEL TEMPLATE · free from Sterling Quant</t>
  </si>
  <si>
    <t>Step-by-step guide: sterlingquant.com/guides/sba-deal-model-in-excel</t>
  </si>
  <si>
    <t/>
  </si>
  <si>
    <t>HOW IT WORKS</t>
  </si>
  <si>
    <t>• Blue cells are inputs. Type over them with your deal's numbers. Black cells are formulas; leave them alone.</t>
  </si>
  <si>
    <t>• It opens prefilled with a fictional HVAC business so you can see every formula working before you start.</t>
  </si>
  <si>
    <t>• Work left to right: Tab 1 → Tab 2 → Tab 3 → Tab 4. Each tab feeds the next.</t>
  </si>
  <si>
    <t>TABS</t>
  </si>
  <si>
    <t>Tab 1 · Tax vs CIM: type each CIM line and the matching Form 1120-S line. Gaps are graded Ties / Review / Flag.</t>
  </si>
  <si>
    <t>Tab 2 · Adj EBITDA: start from 1120-S ordinary income, add interest and depreciation, then list each add-back with its proof.</t>
  </si>
  <si>
    <t>Tab 3 · NWC: three years of Schedule L current assets and liabilities. The average is a starting point for the LOI peg.</t>
  </si>
  <si>
    <t>Tab 4 · SBA DSCR: price, loan, seller note and rate. Tests coverage against 1.25x (SBA SOP 50 10 8.1, first-time acquisitions).</t>
  </si>
  <si>
    <t>Rather not type it all in? Send the CIM and tax returns to sterlingquant.com: Tab 1 free in 2 hours, the full model for $250.</t>
  </si>
  <si>
    <t>Not a quality of earnings report, audit, or tax, legal, lending or accounting advice. Your lender makes the final credit decision.</t>
  </si>
  <si>
    <t>Tab 1 · 1120-S vs. Broker CIM</t>
  </si>
  <si>
    <t>Type the CIM and tax return figures for the same year.</t>
  </si>
  <si>
    <t>Line item</t>
  </si>
  <si>
    <t>CIM</t>
  </si>
  <si>
    <t>1120-S</t>
  </si>
  <si>
    <t>Variance</t>
  </si>
  <si>
    <t>Var %</t>
  </si>
  <si>
    <t>Status</t>
  </si>
  <si>
    <t>1120-S line</t>
  </si>
  <si>
    <t>Gross receipts</t>
  </si>
  <si>
    <t>Line 1a (or 1c)</t>
  </si>
  <si>
    <t>Cost of goods sold</t>
  </si>
  <si>
    <t>Line 2 / Form 1125-A</t>
  </si>
  <si>
    <t>Officer compensation</t>
  </si>
  <si>
    <t>Line 7</t>
  </si>
  <si>
    <t>Salaries &amp; wages</t>
  </si>
  <si>
    <t>Line 8</t>
  </si>
  <si>
    <t>Rent</t>
  </si>
  <si>
    <t>Line 11</t>
  </si>
  <si>
    <t>Depreciation</t>
  </si>
  <si>
    <t>Line 14 + Form 4562</t>
  </si>
  <si>
    <t>Ordinary business income</t>
  </si>
  <si>
    <t>Line 21</t>
  </si>
  <si>
    <t>Within 0.5% ties · 0.5–2.5% review · above 2.5% get a written explanation before the LOI.</t>
  </si>
  <si>
    <t>Tab 2 · Adjusted EBITDA</t>
  </si>
  <si>
    <t>From tax-basis income to the EBITDA a lender will accept. One row per add-back, with its proof.</t>
  </si>
  <si>
    <t>Bridge</t>
  </si>
  <si>
    <t>Amount</t>
  </si>
  <si>
    <t>Proof / basis</t>
  </si>
  <si>
    <t>Ordinary business income (1120-S L21)</t>
  </si>
  <si>
    <t>From Tab 1</t>
  </si>
  <si>
    <t>+ Interest (1120-S L13)</t>
  </si>
  <si>
    <t>+ Depreciation (1120-S L14 + any in COGS)</t>
  </si>
  <si>
    <t>EBITDA (tax basis)</t>
  </si>
  <si>
    <t>Officer comp → market GM salary ($165k)</t>
  </si>
  <si>
    <t>1120-S L7 vs. replacement GM</t>
  </si>
  <si>
    <t>Owner vehicle &amp; personal insurance</t>
  </si>
  <si>
    <t>L19 statement, items 4 &amp; 9</t>
  </si>
  <si>
    <t>One-time legal settlement (2024)</t>
  </si>
  <si>
    <t>L19 statement, item 12</t>
  </si>
  <si>
    <t>Non-working family payroll</t>
  </si>
  <si>
    <t>Payroll register, CIM p.22</t>
  </si>
  <si>
    <t>Related-party rent → fair market ($240k)</t>
  </si>
  <si>
    <t>L11 vs. market lease</t>
  </si>
  <si>
    <t>Add-back (describe)</t>
  </si>
  <si>
    <t>Adjusted EBITDA (lender view)</t>
  </si>
  <si>
    <t>Broker's adjusted EBITDA (CIM)</t>
  </si>
  <si>
    <t>Unsupported add-backs (ask the broker)</t>
  </si>
  <si>
    <t>Negative add-backs are real: a below-market related-party rent or an owner's salary below a replacement GM's lowers EBITDA.</t>
  </si>
  <si>
    <t>Tab 3 · Net Working Capital</t>
  </si>
  <si>
    <t>Schedule L, end of year, for each of the last three years.</t>
  </si>
  <si>
    <t>Line</t>
  </si>
  <si>
    <t>FY2022</t>
  </si>
  <si>
    <t>FY2023</t>
  </si>
  <si>
    <t>FY2024</t>
  </si>
  <si>
    <t>Accounts receivable · L2a</t>
  </si>
  <si>
    <t>Inventory · L3</t>
  </si>
  <si>
    <t>Other current assets · L6</t>
  </si>
  <si>
    <t>Accounts payable · L16</t>
  </si>
  <si>
    <t>Other current liabilities · L18</t>
  </si>
  <si>
    <t>Net working capital</t>
  </si>
  <si>
    <t>Three-year average → starting peg</t>
  </si>
  <si>
    <t>NWC as % of revenue (latest year)</t>
  </si>
  <si>
    <t>Excludes cash and debt. Seasonal businesses: use a trailing-twelve-month monthly average instead.</t>
  </si>
  <si>
    <t>Tab 4 · SBA DSCR Check</t>
  </si>
  <si>
    <t>Change the blue inputs. Tested against SBA SOP 50 10 8.1 (first-time acquisition).</t>
  </si>
  <si>
    <t>Value</t>
  </si>
  <si>
    <t>Note</t>
  </si>
  <si>
    <t>Purchase price</t>
  </si>
  <si>
    <t>Your LOI number</t>
  </si>
  <si>
    <t>Buyer cash equity, % of price</t>
  </si>
  <si>
    <t>At least 5% of the project must be your own money</t>
  </si>
  <si>
    <t>Seller note on full standby, % of price</t>
  </si>
  <si>
    <t>No payments for the life of the SBA loan</t>
  </si>
  <si>
    <t>SBA interest rate</t>
  </si>
  <si>
    <t>Prime + spread</t>
  </si>
  <si>
    <t>Term (years)</t>
  </si>
  <si>
    <t>10 for a business without real estate</t>
  </si>
  <si>
    <t>Maintenance capex per year</t>
  </si>
  <si>
    <t>What it costs to keep the equipment running</t>
  </si>
  <si>
    <t>Required minimum DSCR</t>
  </si>
  <si>
    <t>1.25x first-time acquisition · 1.15x business expansion</t>
  </si>
  <si>
    <t>SBA 7(a) loan</t>
  </si>
  <si>
    <t>Loan within the $5M 7(a) cap?</t>
  </si>
  <si>
    <t>Equity injection that counts</t>
  </si>
  <si>
    <t>Cash + standby note, note capped at 5%. Needs ≥ 10%</t>
  </si>
  <si>
    <t>Injection meets 10%?</t>
  </si>
  <si>
    <t>Adjusted EBITDA</t>
  </si>
  <si>
    <t>From Tab 2</t>
  </si>
  <si>
    <t>Cash available for debt service</t>
  </si>
  <si>
    <t>EBITDA − capex</t>
  </si>
  <si>
    <t>Annual debt service (SBA loan)</t>
  </si>
  <si>
    <t>DSCR</t>
  </si>
  <si>
    <t>Result</t>
  </si>
  <si>
    <t>Stress: DSCR if EBITDA drops 20%</t>
  </si>
  <si>
    <t>EBITDA needed to clear the minimum</t>
  </si>
  <si>
    <t>Purchase multiple</t>
  </si>
  <si>
    <t>Price ÷ adjusted EBITDA</t>
  </si>
  <si>
    <t>Your lender may subtract taxes or a market salary for you, and must use QoE earnings on deals of $3M or more.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</si>
</sst>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(#,##0);&quot;–&quot;"/>
    <numFmt numFmtId="165" formatCode="0.0%;-0.0%;&quot;–&quot;"/>
    <numFmt numFmtId="166" formatCode="0.00&quot;x&quot;"/>
  </numFmts>
  <fonts count="11" x14ac:knownFonts="1">
    <font>
      <color theme="1"/>
      <family val="2"/>
      <scheme val="minor"/>
      <sz val="11"/>
      <name val="Calibri"/>
    </font>
    <font>
      <b/>
      <sz val="12"/>
    </font>
    <font>
      <sz val="11"/>
    </font>
    <font>
      <b/>
      <sz val="14"/>
    </font>
    <font>
      <i/>
      <color rgb="FF6F737B"/>
      <sz val="10"/>
    </font>
    <font>
      <b/>
      <sz val="10"/>
    </font>
    <font>
      <b/>
      <color rgb="FF1F4FD8"/>
    </font>
    <font>
      <color rgb="FF6F737B"/>
      <sz val="10"/>
    </font>
    <font>
      <b/>
    </font>
    <font>
      <color rgb="FF1F4FD8"/>
    </font>
    <font>
      <color rgb="FF1F4FD8"/>
      <sz val="10"/>
    </font>
  </fonts>
  <fills count="3">
    <fill>
      <patternFill patternType="none"/>
    </fill>
    <fill>
      <patternFill patternType="gray125"/>
    </fill>
    <fill>
      <patternFill patternType="solid">
        <fgColor rgb="FFF3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4" fontId="6" fillId="0" borderId="0" xfId="0" applyNumberFormat="1" applyFont="1"/>
    <xf numFmtId="16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right"/>
    </xf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0" fontId="9" fillId="0" borderId="0" xfId="0" applyFont="1"/>
    <xf numFmtId="0" fontId="10" fillId="0" borderId="0" xfId="0" applyFont="1"/>
    <xf numFmtId="165" fontId="6" fillId="0" borderId="0" xfId="0" applyNumberFormat="1" applyFont="1"/>
    <xf numFmtId="10" fontId="6" fillId="0" borderId="0" xfId="0" applyNumberFormat="1" applyFont="1"/>
    <xf numFmtId="1" fontId="6" fillId="0" borderId="0" xfId="0" applyNumberFormat="1" applyFont="1"/>
    <xf numFmtId="166" fontId="6" fillId="0" borderId="0" xfId="0" applyNumberFormat="1" applyFont="1"/>
    <xf numFmtId="49" fontId="0" fillId="0" borderId="0" xfId="0" applyNumberFormat="1"/>
    <xf numFmtId="166" fontId="8" fillId="0" borderId="0" xfId="0" applyNumberFormat="1" applyFont="1"/>
    <xf numFmtId="49" fontId="8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1">
    <dxf>
      <font>
        <b/>
        <color rgb="FFC244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900"/>
  </sheetPr>
  <dimension ref="A1:A17"/>
  <sheetViews>
    <sheetView workbookViewId="0" showGridLines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1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1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2</v>
      </c>
    </row>
    <row r="15" spans="1:1" x14ac:dyDescent="0.25">
      <c r="A15" s="1" t="s">
        <v>12</v>
      </c>
    </row>
    <row r="16" spans="1:1" x14ac:dyDescent="0.25">
      <c r="A16" s="2" t="s">
        <v>2</v>
      </c>
    </row>
    <row r="17" spans="1:1" x14ac:dyDescent="0.25">
      <c r="A17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4" width="13" customWidth="1"/>
    <col min="5" max="6" width="10" customWidth="1"/>
    <col min="7" max="7" width="36" customWidth="1"/>
  </cols>
  <sheetData>
    <row r="1" spans="1:1" x14ac:dyDescent="0.25">
      <c r="A1" s="3" t="s">
        <v>14</v>
      </c>
    </row>
    <row r="2" spans="1:1" x14ac:dyDescent="0.25">
      <c r="A2" s="4" t="s">
        <v>15</v>
      </c>
    </row>
    <row r="4" spans="1:7" x14ac:dyDescent="0.25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t="s">
        <v>23</v>
      </c>
      <c r="B5" s="7">
        <v>8420000</v>
      </c>
      <c r="C5" s="7">
        <v>8195300</v>
      </c>
      <c r="D5" s="8">
        <f>B5-C5</f>
        <v>224700</v>
      </c>
      <c r="E5" s="9">
        <f>IF(C5=0,0,D5/C5)</f>
        <v>0.027418154307957</v>
      </c>
      <c r="F5" s="10" t="str">
        <f>IF(ABS(E5)&lt;0.005,"Ties",IF(ABS(E5)&lt;0.025,"Review","Flag"))</f>
        <v>Flag</v>
      </c>
      <c r="G5" s="11" t="s">
        <v>24</v>
      </c>
    </row>
    <row r="6" spans="1:7" x14ac:dyDescent="0.25">
      <c r="A6" t="s">
        <v>25</v>
      </c>
      <c r="B6" s="7">
        <v>4790000</v>
      </c>
      <c r="C6" s="7">
        <v>4702150</v>
      </c>
      <c r="D6" s="8">
        <f>B6-C6</f>
        <v>87850</v>
      </c>
      <c r="E6" s="9">
        <f>IF(C6=0,0,D6/C6)</f>
        <v>0.018682942909094776</v>
      </c>
      <c r="F6" s="10" t="str">
        <f>IF(ABS(E6)&lt;0.005,"Ties",IF(ABS(E6)&lt;0.025,"Review","Flag"))</f>
        <v>Review</v>
      </c>
      <c r="G6" s="11" t="s">
        <v>26</v>
      </c>
    </row>
    <row r="7" spans="1:7" x14ac:dyDescent="0.25">
      <c r="A7" t="s">
        <v>27</v>
      </c>
      <c r="B7" s="7">
        <v>310000</v>
      </c>
      <c r="C7" s="7">
        <v>310000</v>
      </c>
      <c r="D7" s="8">
        <f>B7-C7</f>
        <v>0</v>
      </c>
      <c r="E7" s="9">
        <f>IF(C7=0,0,D7/C7)</f>
        <v>0</v>
      </c>
      <c r="F7" s="10" t="str">
        <f>IF(ABS(E7)&lt;0.005,"Ties",IF(ABS(E7)&lt;0.025,"Review","Flag"))</f>
        <v>Ties</v>
      </c>
      <c r="G7" s="11" t="s">
        <v>28</v>
      </c>
    </row>
    <row r="8" spans="1:7" x14ac:dyDescent="0.25">
      <c r="A8" t="s">
        <v>29</v>
      </c>
      <c r="B8" s="7">
        <v>1140000</v>
      </c>
      <c r="C8" s="7">
        <v>1138420</v>
      </c>
      <c r="D8" s="8">
        <f>B8-C8</f>
        <v>1580</v>
      </c>
      <c r="E8" s="9">
        <f>IF(C8=0,0,D8/C8)</f>
        <v>0.001387888477011999</v>
      </c>
      <c r="F8" s="10" t="str">
        <f>IF(ABS(E8)&lt;0.005,"Ties",IF(ABS(E8)&lt;0.025,"Review","Flag"))</f>
        <v>Ties</v>
      </c>
      <c r="G8" s="11" t="s">
        <v>30</v>
      </c>
    </row>
    <row r="9" spans="1:7" x14ac:dyDescent="0.25">
      <c r="A9" t="s">
        <v>31</v>
      </c>
      <c r="B9" s="7">
        <v>216000</v>
      </c>
      <c r="C9" s="7">
        <v>216000</v>
      </c>
      <c r="D9" s="8">
        <f>B9-C9</f>
        <v>0</v>
      </c>
      <c r="E9" s="9">
        <f>IF(C9=0,0,D9/C9)</f>
        <v>0</v>
      </c>
      <c r="F9" s="10" t="str">
        <f>IF(ABS(E9)&lt;0.005,"Ties",IF(ABS(E9)&lt;0.025,"Review","Flag"))</f>
        <v>Ties</v>
      </c>
      <c r="G9" s="11" t="s">
        <v>32</v>
      </c>
    </row>
    <row r="10" spans="1:7" x14ac:dyDescent="0.25">
      <c r="A10" t="s">
        <v>33</v>
      </c>
      <c r="B10" s="7">
        <v>142000</v>
      </c>
      <c r="C10" s="7">
        <v>168900</v>
      </c>
      <c r="D10" s="8">
        <f>B10-C10</f>
        <v>-26900</v>
      </c>
      <c r="E10" s="9">
        <f>IF(C10=0,0,D10/C10)</f>
        <v>-0.15926583777383066</v>
      </c>
      <c r="F10" s="10" t="str">
        <f>IF(ABS(E10)&lt;0.005,"Ties",IF(ABS(E10)&lt;0.025,"Review","Flag"))</f>
        <v>Flag</v>
      </c>
      <c r="G10" s="11" t="s">
        <v>34</v>
      </c>
    </row>
    <row r="11" spans="1:7" x14ac:dyDescent="0.25">
      <c r="A11" t="s">
        <v>35</v>
      </c>
      <c r="B11" s="7">
        <v>1095000</v>
      </c>
      <c r="C11" s="7">
        <v>932830</v>
      </c>
      <c r="D11" s="8">
        <f>B11-C11</f>
        <v>162170</v>
      </c>
      <c r="E11" s="9">
        <f>IF(C11=0,0,D11/C11)</f>
        <v>0.1738473248073068</v>
      </c>
      <c r="F11" s="10" t="str">
        <f>IF(ABS(E11)&lt;0.005,"Ties",IF(ABS(E11)&lt;0.025,"Review","Flag"))</f>
        <v>Flag</v>
      </c>
      <c r="G11" s="11" t="s">
        <v>36</v>
      </c>
    </row>
    <row r="13" spans="1:1" x14ac:dyDescent="0.25">
      <c r="A13" s="11" t="s">
        <v>37</v>
      </c>
    </row>
  </sheetData>
  <conditionalFormatting sqref="F5:F11">
    <cfRule type="containsText" dxfId="0" priority="1">
      <formula>NOT(ISERROR(SEARCH("Flag",F5)))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4" customWidth="1"/>
    <col min="3" max="3" width="44" customWidth="1"/>
  </cols>
  <sheetData>
    <row r="1" spans="1:1" x14ac:dyDescent="0.25">
      <c r="A1" s="3" t="s">
        <v>38</v>
      </c>
    </row>
    <row r="2" spans="1:1" x14ac:dyDescent="0.25">
      <c r="A2" s="4" t="s">
        <v>39</v>
      </c>
    </row>
    <row r="4" spans="1:3" x14ac:dyDescent="0.25">
      <c r="A4" s="5" t="s">
        <v>40</v>
      </c>
      <c r="B4" s="6" t="s">
        <v>41</v>
      </c>
      <c r="C4" s="6" t="s">
        <v>42</v>
      </c>
    </row>
    <row r="5" spans="1:3" x14ac:dyDescent="0.25">
      <c r="A5" t="s">
        <v>43</v>
      </c>
      <c r="B5" s="8">
        <f>'Tab1 Tax vs CIM'!C11</f>
        <v>932830</v>
      </c>
      <c r="C5" s="11" t="s">
        <v>44</v>
      </c>
    </row>
    <row r="6" spans="1:2" x14ac:dyDescent="0.25">
      <c r="A6" t="s">
        <v>45</v>
      </c>
      <c r="B6" s="7">
        <v>48200</v>
      </c>
    </row>
    <row r="7" spans="1:2" x14ac:dyDescent="0.25">
      <c r="A7" t="s">
        <v>46</v>
      </c>
      <c r="B7" s="7">
        <v>168900</v>
      </c>
    </row>
    <row r="8" spans="1:2" x14ac:dyDescent="0.25">
      <c r="A8" s="12" t="s">
        <v>47</v>
      </c>
      <c r="B8" s="13">
        <f>SUM(B5:B7)</f>
        <v>1149930</v>
      </c>
    </row>
    <row r="9" spans="1:3" x14ac:dyDescent="0.25">
      <c r="A9" s="14" t="s">
        <v>48</v>
      </c>
      <c r="B9" s="7">
        <v>145000</v>
      </c>
      <c r="C9" s="15" t="s">
        <v>49</v>
      </c>
    </row>
    <row r="10" spans="1:3" x14ac:dyDescent="0.25">
      <c r="A10" s="14" t="s">
        <v>50</v>
      </c>
      <c r="B10" s="7">
        <v>38400</v>
      </c>
      <c r="C10" s="15" t="s">
        <v>51</v>
      </c>
    </row>
    <row r="11" spans="1:3" x14ac:dyDescent="0.25">
      <c r="A11" s="14" t="s">
        <v>52</v>
      </c>
      <c r="B11" s="7">
        <v>62000</v>
      </c>
      <c r="C11" s="15" t="s">
        <v>53</v>
      </c>
    </row>
    <row r="12" spans="1:3" x14ac:dyDescent="0.25">
      <c r="A12" s="14" t="s">
        <v>54</v>
      </c>
      <c r="B12" s="7">
        <v>54000</v>
      </c>
      <c r="C12" s="15" t="s">
        <v>55</v>
      </c>
    </row>
    <row r="13" spans="1:3" x14ac:dyDescent="0.25">
      <c r="A13" s="14" t="s">
        <v>56</v>
      </c>
      <c r="B13" s="7">
        <v>-24000</v>
      </c>
      <c r="C13" s="15" t="s">
        <v>57</v>
      </c>
    </row>
    <row r="14" spans="1:3" x14ac:dyDescent="0.25">
      <c r="A14" s="14" t="s">
        <v>58</v>
      </c>
      <c r="B14" s="7">
        <v>0</v>
      </c>
      <c r="C14" s="15" t="s">
        <v>2</v>
      </c>
    </row>
    <row r="15" spans="1:3" x14ac:dyDescent="0.25">
      <c r="A15" s="14" t="s">
        <v>58</v>
      </c>
      <c r="B15" s="7">
        <v>0</v>
      </c>
      <c r="C15" s="15" t="s">
        <v>2</v>
      </c>
    </row>
    <row r="16" spans="1:3" x14ac:dyDescent="0.25">
      <c r="A16" s="14" t="s">
        <v>58</v>
      </c>
      <c r="B16" s="7">
        <v>0</v>
      </c>
      <c r="C16" s="15" t="s">
        <v>2</v>
      </c>
    </row>
    <row r="17" spans="1:2" x14ac:dyDescent="0.25">
      <c r="A17" s="12" t="s">
        <v>59</v>
      </c>
      <c r="B17" s="13">
        <f>B8+SUM(B9:B16)</f>
        <v>1425330</v>
      </c>
    </row>
    <row r="18" spans="1:2" x14ac:dyDescent="0.25">
      <c r="A18" t="s">
        <v>60</v>
      </c>
      <c r="B18" s="7">
        <v>1690000</v>
      </c>
    </row>
    <row r="19" spans="1:2" x14ac:dyDescent="0.25">
      <c r="A19" s="12" t="s">
        <v>61</v>
      </c>
      <c r="B19" s="13">
        <f>B18-B17</f>
        <v>264670</v>
      </c>
    </row>
    <row r="21" spans="1:1" x14ac:dyDescent="0.25">
      <c r="A21" s="11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4" customWidth="1"/>
  </cols>
  <sheetData>
    <row r="1" spans="1:1" x14ac:dyDescent="0.25">
      <c r="A1" s="3" t="s">
        <v>63</v>
      </c>
    </row>
    <row r="2" spans="1:1" x14ac:dyDescent="0.25">
      <c r="A2" s="4" t="s">
        <v>64</v>
      </c>
    </row>
    <row r="4" spans="1:4" x14ac:dyDescent="0.25">
      <c r="A4" s="5" t="s">
        <v>65</v>
      </c>
      <c r="B4" s="6" t="s">
        <v>66</v>
      </c>
      <c r="C4" s="6" t="s">
        <v>67</v>
      </c>
      <c r="D4" s="6" t="s">
        <v>68</v>
      </c>
    </row>
    <row r="5" spans="1:4" x14ac:dyDescent="0.25">
      <c r="A5" t="s">
        <v>69</v>
      </c>
      <c r="B5" s="7">
        <v>812000</v>
      </c>
      <c r="C5" s="7">
        <v>865000</v>
      </c>
      <c r="D5" s="7">
        <v>921000</v>
      </c>
    </row>
    <row r="6" spans="1:4" x14ac:dyDescent="0.25">
      <c r="A6" t="s">
        <v>70</v>
      </c>
      <c r="B6" s="7">
        <v>214000</v>
      </c>
      <c r="C6" s="7">
        <v>236000</v>
      </c>
      <c r="D6" s="7">
        <v>248000</v>
      </c>
    </row>
    <row r="7" spans="1:4" x14ac:dyDescent="0.25">
      <c r="A7" t="s">
        <v>71</v>
      </c>
      <c r="B7" s="7">
        <v>38000</v>
      </c>
      <c r="C7" s="7">
        <v>41000</v>
      </c>
      <c r="D7" s="7">
        <v>44000</v>
      </c>
    </row>
    <row r="8" spans="1:4" x14ac:dyDescent="0.25">
      <c r="A8" t="s">
        <v>72</v>
      </c>
      <c r="B8" s="7">
        <v>402000</v>
      </c>
      <c r="C8" s="7">
        <v>441000</v>
      </c>
      <c r="D8" s="7">
        <v>468000</v>
      </c>
    </row>
    <row r="9" spans="1:4" x14ac:dyDescent="0.25">
      <c r="A9" t="s">
        <v>73</v>
      </c>
      <c r="B9" s="7">
        <v>96000</v>
      </c>
      <c r="C9" s="7">
        <v>104000</v>
      </c>
      <c r="D9" s="7">
        <v>112000</v>
      </c>
    </row>
    <row r="10" spans="1:4" x14ac:dyDescent="0.25">
      <c r="A10" s="12" t="s">
        <v>74</v>
      </c>
      <c r="B10" s="13">
        <f>SUM(B5:B7)-SUM(B8:B9)</f>
        <v>566000</v>
      </c>
      <c r="C10" s="13">
        <f>SUM(C5:C7)-SUM(C8:C9)</f>
        <v>597000</v>
      </c>
      <c r="D10" s="13">
        <f>SUM(D5:D7)-SUM(D8:D9)</f>
        <v>633000</v>
      </c>
    </row>
    <row r="11" spans="1:4" x14ac:dyDescent="0.25">
      <c r="A11" t="s">
        <v>75</v>
      </c>
      <c r="D11" s="13">
        <f>AVERAGE(B10:D10)</f>
        <v>598667</v>
      </c>
    </row>
    <row r="12" spans="1:4" x14ac:dyDescent="0.25">
      <c r="A12" t="s">
        <v>76</v>
      </c>
      <c r="D12" s="9">
        <f>IF('Tab1 Tax vs CIM'!C5=0,0,D10/'Tab1 Tax vs CIM'!C5)</f>
        <v>0.0772393933108001</v>
      </c>
    </row>
    <row r="14" spans="1:1" x14ac:dyDescent="0.25">
      <c r="A14" s="11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50" customWidth="1"/>
  </cols>
  <sheetData>
    <row r="1" spans="1:1" x14ac:dyDescent="0.25">
      <c r="A1" s="3" t="s">
        <v>78</v>
      </c>
    </row>
    <row r="2" spans="1:1" x14ac:dyDescent="0.25">
      <c r="A2" s="4" t="s">
        <v>79</v>
      </c>
    </row>
    <row r="4" spans="1:3" x14ac:dyDescent="0.25">
      <c r="A4" s="5" t="s">
        <v>65</v>
      </c>
      <c r="B4" s="6" t="s">
        <v>80</v>
      </c>
      <c r="C4" s="6" t="s">
        <v>81</v>
      </c>
    </row>
    <row r="5" spans="1:3" x14ac:dyDescent="0.25">
      <c r="A5" t="s">
        <v>82</v>
      </c>
      <c r="B5" s="7">
        <v>6000000</v>
      </c>
      <c r="C5" s="11" t="s">
        <v>83</v>
      </c>
    </row>
    <row r="6" spans="1:3" x14ac:dyDescent="0.25">
      <c r="A6" t="s">
        <v>84</v>
      </c>
      <c r="B6" s="16">
        <v>0.1</v>
      </c>
      <c r="C6" s="11" t="s">
        <v>85</v>
      </c>
    </row>
    <row r="7" spans="1:3" x14ac:dyDescent="0.25">
      <c r="A7" t="s">
        <v>86</v>
      </c>
      <c r="B7" s="16">
        <v>0.1</v>
      </c>
      <c r="C7" s="11" t="s">
        <v>87</v>
      </c>
    </row>
    <row r="8" spans="1:3" x14ac:dyDescent="0.25">
      <c r="A8" t="s">
        <v>88</v>
      </c>
      <c r="B8" s="17">
        <v>0.105</v>
      </c>
      <c r="C8" s="11" t="s">
        <v>89</v>
      </c>
    </row>
    <row r="9" spans="1:3" x14ac:dyDescent="0.25">
      <c r="A9" t="s">
        <v>90</v>
      </c>
      <c r="B9" s="18">
        <v>10</v>
      </c>
      <c r="C9" s="11" t="s">
        <v>91</v>
      </c>
    </row>
    <row r="10" spans="1:3" x14ac:dyDescent="0.25">
      <c r="A10" t="s">
        <v>92</v>
      </c>
      <c r="B10" s="7">
        <v>85000</v>
      </c>
      <c r="C10" s="11" t="s">
        <v>93</v>
      </c>
    </row>
    <row r="11" spans="1:3" x14ac:dyDescent="0.25">
      <c r="A11" t="s">
        <v>94</v>
      </c>
      <c r="B11" s="19">
        <v>1.25</v>
      </c>
      <c r="C11" s="11" t="s">
        <v>95</v>
      </c>
    </row>
    <row r="13" spans="1:2" x14ac:dyDescent="0.25">
      <c r="A13" t="s">
        <v>96</v>
      </c>
      <c r="B13" s="8">
        <f>B5*(1-B6-B7)</f>
        <v>4800000</v>
      </c>
    </row>
    <row r="14" spans="1:2" x14ac:dyDescent="0.25">
      <c r="A14" t="s">
        <v>97</v>
      </c>
      <c r="B14" s="20" t="str">
        <f>IF(B13&lt;=5000000,"Yes","No")</f>
        <v>Yes</v>
      </c>
    </row>
    <row r="15" spans="1:3" x14ac:dyDescent="0.25">
      <c r="A15" t="s">
        <v>98</v>
      </c>
      <c r="B15" s="9">
        <f>B6+MIN(B7,0.05)</f>
        <v>0.15000000000000002</v>
      </c>
      <c r="C15" s="11" t="s">
        <v>99</v>
      </c>
    </row>
    <row r="16" spans="1:2" x14ac:dyDescent="0.25">
      <c r="A16" t="s">
        <v>100</v>
      </c>
      <c r="B16" s="20" t="str">
        <f>IF(AND(B15&gt;=0.1,B6&gt;=0.05),"Yes","No")</f>
        <v>Yes</v>
      </c>
    </row>
    <row r="18" spans="1:3" x14ac:dyDescent="0.25">
      <c r="A18" t="s">
        <v>101</v>
      </c>
      <c r="B18" s="8">
        <f>'Tab2 Adj EBITDA'!B17</f>
        <v>1425330</v>
      </c>
      <c r="C18" s="11" t="s">
        <v>102</v>
      </c>
    </row>
    <row r="19" spans="1:3" x14ac:dyDescent="0.25">
      <c r="A19" t="s">
        <v>103</v>
      </c>
      <c r="B19" s="8">
        <f>B18-B10</f>
        <v>1340330</v>
      </c>
      <c r="C19" s="11" t="s">
        <v>104</v>
      </c>
    </row>
    <row r="20" spans="1:2" x14ac:dyDescent="0.25">
      <c r="A20" t="s">
        <v>105</v>
      </c>
      <c r="B20" s="8">
        <f>-PMT(B8/12,B9*12,B13)*12</f>
        <v>777226</v>
      </c>
    </row>
    <row r="21" spans="1:2" x14ac:dyDescent="0.25">
      <c r="A21" s="12" t="s">
        <v>106</v>
      </c>
      <c r="B21" s="21">
        <f>IF(B20=0,0,B19/B20)</f>
        <v>1.7245048415776105</v>
      </c>
    </row>
    <row r="22" spans="1:2" x14ac:dyDescent="0.25">
      <c r="A22" s="12" t="s">
        <v>107</v>
      </c>
      <c r="B22" s="22" t="str">
        <f>IF(B21&gt;=B11,"PASS","FAIL")</f>
        <v>PASS</v>
      </c>
    </row>
    <row r="23" spans="1:2" x14ac:dyDescent="0.25">
      <c r="A23" t="s">
        <v>108</v>
      </c>
      <c r="B23" s="23">
        <f>IF(B20=0,0,(B18*0.8-B10)/B20)</f>
        <v>1.357731213315046</v>
      </c>
    </row>
    <row r="24" spans="1:2" x14ac:dyDescent="0.25">
      <c r="A24" t="s">
        <v>109</v>
      </c>
      <c r="B24" s="8">
        <f>B11*B20+B10</f>
        <v>1056532.5</v>
      </c>
    </row>
    <row r="25" spans="1:3" x14ac:dyDescent="0.25">
      <c r="A25" t="s">
        <v>110</v>
      </c>
      <c r="B25" s="23">
        <f>IF(B18=0,0,B5/B18)</f>
        <v>4.209551472290627</v>
      </c>
      <c r="C25" s="11" t="s">
        <v>111</v>
      </c>
    </row>
    <row r="27" spans="1:1" x14ac:dyDescent="0.25">
      <c r="A27" s="11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Tab1 Tax vs CIM</vt:lpstr>
      <vt:lpstr>Tab2 Adj EBITDA</vt:lpstr>
      <vt:lpstr>Tab3 NWC</vt:lpstr>
      <vt:lpstr>Tab4 SBA DSCR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Quant</dc:creator>
  <dc:title/>
  <dc:subject/>
  <dc:description/>
  <cp:keywords/>
  <cp:category/>
  <cp:lastModifiedBy>Unknown</cp:lastModifiedBy>
  <dcterms:created xsi:type="dcterms:W3CDTF">2026-10-18T07:29:47Z</dcterms:created>
  <dcterms:modified xsi:type="dcterms:W3CDTF">2026-10-18T07:29:47Z</dcterms:modified>
</cp:coreProperties>
</file>